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195"/>
  </bookViews>
  <sheets>
    <sheet name="Sheet1" sheetId="1" r:id="rId1"/>
  </sheets>
  <definedNames>
    <definedName name="_xlnm.Print_Area" localSheetId="0">Sheet1!$A$1:$H$47</definedName>
  </definedNames>
  <calcPr calcId="144525"/>
</workbook>
</file>

<file path=xl/sharedStrings.xml><?xml version="1.0" encoding="utf-8"?>
<sst xmlns="http://schemas.openxmlformats.org/spreadsheetml/2006/main" count="110" uniqueCount="95">
  <si>
    <t>报价表</t>
  </si>
  <si>
    <r>
      <rPr>
        <sz val="11"/>
        <color theme="1"/>
        <rFont val="方正小标宋简体"/>
        <charset val="134"/>
      </rPr>
      <t xml:space="preserve">☆填写要求☆：
</t>
    </r>
    <r>
      <rPr>
        <sz val="11"/>
        <color rgb="FFFF0000"/>
        <rFont val="方正小标宋简体"/>
        <charset val="134"/>
      </rPr>
      <t xml:space="preserve">1.朱红色为手动填写，供应商按项目情况录入内容；
</t>
    </r>
    <r>
      <rPr>
        <sz val="11"/>
        <color rgb="FFC00000"/>
        <rFont val="方正小标宋简体"/>
        <charset val="134"/>
      </rPr>
      <t xml:space="preserve">2.褐红色为下拉选项，供应商按项目情况选择合适选项；
</t>
    </r>
    <r>
      <rPr>
        <sz val="11"/>
        <color rgb="FF7030A0"/>
        <rFont val="方正小标宋简体"/>
        <charset val="134"/>
      </rPr>
      <t xml:space="preserve">3.紫色为固定值，供应商无需修改；
</t>
    </r>
    <r>
      <rPr>
        <sz val="11"/>
        <color rgb="FF00B0F0"/>
        <rFont val="方正小标宋简体"/>
        <charset val="134"/>
      </rPr>
      <t>4.蓝色为自动填充，供应商无需录入，表格根据录入情况自动反显内容。</t>
    </r>
  </si>
  <si>
    <r>
      <rPr>
        <b/>
        <sz val="11"/>
        <color theme="1"/>
        <rFont val="仿宋_GB2312"/>
        <charset val="134"/>
      </rPr>
      <t xml:space="preserve">供应商名称
</t>
    </r>
    <r>
      <rPr>
        <b/>
        <sz val="11"/>
        <color rgb="FFFF0000"/>
        <rFont val="仿宋_GB2312"/>
        <charset val="134"/>
      </rPr>
      <t>（手动填写）</t>
    </r>
  </si>
  <si>
    <t>（加盖公章）</t>
  </si>
  <si>
    <r>
      <rPr>
        <b/>
        <sz val="11"/>
        <color theme="1"/>
        <rFont val="仿宋_GB2312"/>
        <charset val="134"/>
      </rPr>
      <t xml:space="preserve">广东省网上中介服务超市登记服务信息
</t>
    </r>
    <r>
      <rPr>
        <b/>
        <sz val="11"/>
        <color rgb="FFFF0000"/>
        <rFont val="仿宋_GB2312"/>
        <charset val="134"/>
      </rPr>
      <t>（手动填写）</t>
    </r>
  </si>
  <si>
    <r>
      <rPr>
        <sz val="11"/>
        <color theme="1"/>
        <rFont val="Wingdings 2"/>
        <charset val="134"/>
      </rPr>
      <t>£</t>
    </r>
    <r>
      <rPr>
        <sz val="11"/>
        <color theme="1"/>
        <rFont val="仿宋_GB2312"/>
        <charset val="134"/>
      </rPr>
      <t>已登记，服务信息：</t>
    </r>
    <r>
      <rPr>
        <u/>
        <sz val="11"/>
        <color theme="1"/>
        <rFont val="仿宋_GB2312"/>
        <charset val="134"/>
      </rPr>
      <t xml:space="preserve">                             
</t>
    </r>
    <r>
      <rPr>
        <sz val="11"/>
        <color theme="1"/>
        <rFont val="Wingdings 2"/>
        <charset val="134"/>
      </rPr>
      <t>£</t>
    </r>
    <r>
      <rPr>
        <sz val="11"/>
        <color theme="1"/>
        <rFont val="仿宋_GB2312"/>
        <charset val="134"/>
      </rPr>
      <t>未登记。</t>
    </r>
  </si>
  <si>
    <r>
      <rPr>
        <b/>
        <sz val="11"/>
        <color theme="1"/>
        <rFont val="仿宋_GB2312"/>
        <charset val="134"/>
      </rPr>
      <t xml:space="preserve">宗地位置
</t>
    </r>
    <r>
      <rPr>
        <b/>
        <sz val="11"/>
        <color rgb="FFFF0000"/>
        <rFont val="仿宋_GB2312"/>
        <charset val="134"/>
      </rPr>
      <t>（手动填写）</t>
    </r>
  </si>
  <si>
    <t>江门市蓬江区棠下镇三堡六路以南、堡莲路以西、广中江高速以北、三堡水库以东地段</t>
  </si>
  <si>
    <r>
      <rPr>
        <b/>
        <sz val="11"/>
        <color theme="1"/>
        <rFont val="仿宋_GB2312"/>
        <charset val="134"/>
      </rPr>
      <t xml:space="preserve">红线范围（km2）
</t>
    </r>
    <r>
      <rPr>
        <b/>
        <sz val="11"/>
        <color rgb="FFFF0000"/>
        <rFont val="仿宋_GB2312"/>
        <charset val="134"/>
      </rPr>
      <t>（手动填写）</t>
    </r>
  </si>
  <si>
    <t>根据《广东省地质灾害危险性评估实施细则》（2021年修订版）第三章第一节第二十一条，非线状工程的评估范围应根据实际情况适当外扩，一般应以征地红线外扩50m以上。</t>
  </si>
  <si>
    <r>
      <rPr>
        <b/>
        <sz val="11"/>
        <color theme="1"/>
        <rFont val="仿宋_GB2312"/>
        <charset val="134"/>
      </rPr>
      <t xml:space="preserve">报价金额（万元）
</t>
    </r>
    <r>
      <rPr>
        <b/>
        <sz val="11"/>
        <color rgb="FFFF0000"/>
        <rFont val="仿宋_GB2312"/>
        <charset val="134"/>
      </rPr>
      <t>（手动填写）</t>
    </r>
  </si>
  <si>
    <r>
      <rPr>
        <sz val="11"/>
        <color theme="1"/>
        <rFont val="仿宋_GB2312"/>
        <charset val="134"/>
      </rPr>
      <t>大写：（人民币</t>
    </r>
    <r>
      <rPr>
        <u/>
        <sz val="11"/>
        <color theme="1"/>
        <rFont val="宋体"/>
        <charset val="134"/>
      </rPr>
      <t xml:space="preserve">                              </t>
    </r>
    <r>
      <rPr>
        <sz val="11"/>
        <color theme="1"/>
        <rFont val="宋体"/>
        <charset val="134"/>
      </rPr>
      <t>)</t>
    </r>
  </si>
  <si>
    <r>
      <rPr>
        <b/>
        <sz val="11"/>
        <color theme="1"/>
        <rFont val="仿宋_GB2312"/>
        <charset val="134"/>
      </rPr>
      <t>评估范围（km</t>
    </r>
    <r>
      <rPr>
        <b/>
        <vertAlign val="superscript"/>
        <sz val="11"/>
        <color theme="1"/>
        <rFont val="仿宋_GB2312"/>
        <charset val="134"/>
      </rPr>
      <t>2</t>
    </r>
    <r>
      <rPr>
        <b/>
        <sz val="11"/>
        <color theme="1"/>
        <rFont val="仿宋_GB2312"/>
        <charset val="134"/>
      </rPr>
      <t xml:space="preserve">）
</t>
    </r>
    <r>
      <rPr>
        <b/>
        <sz val="11"/>
        <color rgb="FFFF0000"/>
        <rFont val="仿宋_GB2312"/>
        <charset val="134"/>
      </rPr>
      <t>（手动填写）</t>
    </r>
  </si>
  <si>
    <r>
      <rPr>
        <b/>
        <sz val="11"/>
        <color theme="1"/>
        <rFont val="仿宋_GB2312"/>
        <charset val="134"/>
      </rPr>
      <t>费用构成</t>
    </r>
  </si>
  <si>
    <t>地质灾害评估基本取费</t>
  </si>
  <si>
    <t>建设项目重要性分类表</t>
  </si>
  <si>
    <r>
      <rPr>
        <b/>
        <sz val="11"/>
        <color theme="1"/>
        <rFont val="仿宋_GB2312"/>
        <charset val="134"/>
      </rPr>
      <t xml:space="preserve">项目类别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</si>
  <si>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>划分指标（占地面积（k</t>
    </r>
    <r>
      <rPr>
        <b/>
        <sz val="11"/>
        <color theme="1"/>
        <rFont val="宋体"/>
        <charset val="134"/>
      </rPr>
      <t>㎡</t>
    </r>
    <r>
      <rPr>
        <b/>
        <sz val="11"/>
        <color theme="1"/>
        <rFont val="仿宋_GB2312"/>
        <charset val="134"/>
      </rPr>
      <t xml:space="preserve">）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</si>
  <si>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重要性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</si>
  <si>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rFont val="仿宋_GB2312"/>
        <charset val="134"/>
      </rPr>
      <t xml:space="preserve">取费依据
</t>
    </r>
    <r>
      <rPr>
        <b/>
        <sz val="11"/>
        <color rgb="FFFF0000"/>
        <rFont val="仿宋_GB2312"/>
        <charset val="134"/>
      </rPr>
      <t>（手动填写）</t>
    </r>
  </si>
  <si>
    <t>城镇和开发区</t>
  </si>
  <si>
    <t>1.按《广东省地质灾害危险性评估取费指导价格》计价。
2.包括进行地质灾害资料收集、现场调查、图件绘制、技术分析,以及评估报告的编制和评审、税金等全部费用。地质灾害危险性评估工作中进行地形测绘、勘探工程等工作,按《工程勘察设计收费标准》(计价格[2002]10号)中通用勘察收费规定另行计取工作费用。</t>
  </si>
  <si>
    <t>地质环境条件复杂程度分级表
（孰高原则取值）</t>
  </si>
  <si>
    <r>
      <rPr>
        <b/>
        <sz val="11"/>
        <color theme="1"/>
        <rFont val="仿宋_GB2312"/>
        <charset val="134"/>
      </rPr>
      <t xml:space="preserve">条件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</si>
  <si>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类别
</t>
    </r>
    <r>
      <rPr>
        <b/>
        <sz val="11"/>
        <color rgb="FFC00000"/>
        <rFont val="仿宋_GB2312"/>
        <charset val="134"/>
      </rPr>
      <t>（下拉选项）</t>
    </r>
  </si>
  <si>
    <r>
      <rPr>
        <b/>
        <sz val="11"/>
        <color theme="1"/>
        <rFont val="仿宋_GB2312"/>
        <charset val="134"/>
      </rPr>
      <t xml:space="preserve">程度
</t>
    </r>
    <r>
      <rPr>
        <b/>
        <sz val="11"/>
        <color rgb="FF00B0F0"/>
        <rFont val="仿宋_GB2312"/>
        <charset val="134"/>
      </rPr>
      <t>（自动填充）</t>
    </r>
  </si>
  <si>
    <t>区域地质背景</t>
  </si>
  <si>
    <t>区域地质构造条件简单，建设场地附近无全新世活动断裂，地震基本烈度小于或等于VI度，地震动峰值加速度小于0.10g</t>
  </si>
  <si>
    <t>地形地貌</t>
  </si>
  <si>
    <t>单一地貌单元，且相对高差小于50m，地形坡度小于10°</t>
  </si>
  <si>
    <t>地层岩性和岩土工程地质性质</t>
  </si>
  <si>
    <t>岩层倾角&lt;10°，岩体为整体构造；岩土分层少厚度稳定，力学性质离散性小；岩土水理性能良好，不会出现崩解、渗漏破坏、淘蚀或软化</t>
  </si>
  <si>
    <t>地质构造</t>
  </si>
  <si>
    <t>无褶皱断裂；且&lt;3组节理裂隙，倾角变化小稳定性较好，岩体较完整</t>
  </si>
  <si>
    <t>水文地质条件</t>
  </si>
  <si>
    <t>单层含水层，水位年际变化小于5m，水文地质条件良好</t>
  </si>
  <si>
    <t>地质灾害及不良地质现象</t>
  </si>
  <si>
    <t>发育弱或不发育，危害小</t>
  </si>
  <si>
    <t>人类活动对地质环境的影响</t>
  </si>
  <si>
    <t>弱:填土边坡或土质挖方边坡&lt;5m;岩质挖方边坡&lt;10m;无潜埋洞室和地下采空区;对地形地貌景观破坏程度轻微</t>
  </si>
  <si>
    <r>
      <rPr>
        <b/>
        <sz val="11"/>
        <color theme="1"/>
        <rFont val="仿宋_GB2312"/>
        <charset val="134"/>
      </rPr>
      <t xml:space="preserve">综合程度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</si>
  <si>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地灾危险性评估分级表
</t>
    </r>
    <r>
      <rPr>
        <b/>
        <sz val="11"/>
        <color rgb="FF00B0F0"/>
        <rFont val="仿宋_GB2312"/>
        <charset val="134"/>
      </rPr>
      <t>（自动填充）</t>
    </r>
  </si>
  <si>
    <t>地灾危险性评估基本取费表</t>
  </si>
  <si>
    <r>
      <rPr>
        <b/>
        <sz val="11"/>
        <color theme="1"/>
        <rFont val="仿宋_GB2312"/>
        <charset val="134"/>
      </rPr>
      <t>工程类别</t>
    </r>
    <r>
      <rPr>
        <b/>
        <sz val="11"/>
        <color rgb="FFFF0000"/>
        <rFont val="仿宋_GB2312"/>
        <charset val="134"/>
      </rPr>
      <t xml:space="preserve">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</si>
  <si>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基本取费
（万元）
</t>
    </r>
    <r>
      <rPr>
        <b/>
        <sz val="11"/>
        <color rgb="FF00B0F0"/>
        <rFont val="仿宋_GB2312"/>
        <charset val="134"/>
      </rPr>
      <t>（自动填充）</t>
    </r>
  </si>
  <si>
    <t>工业、民用及公用建设工程</t>
  </si>
  <si>
    <t>工程规模和工程类别调整系数表</t>
  </si>
  <si>
    <r>
      <rPr>
        <b/>
        <sz val="11"/>
        <color theme="1"/>
        <rFont val="仿宋_GB2312"/>
        <charset val="134"/>
      </rPr>
      <t xml:space="preserve">工程类别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</si>
  <si>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工程类别调整系数（K1）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</si>
  <si>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>工程规模调整系数（K2）</t>
    </r>
    <r>
      <rPr>
        <b/>
        <sz val="11"/>
        <color rgb="FF00B0F0"/>
        <rFont val="仿宋_GB2312"/>
        <charset val="134"/>
      </rPr>
      <t>（自动填充）</t>
    </r>
  </si>
  <si>
    <t>工业厂房、民用住宅工程</t>
  </si>
  <si>
    <t>地区调整系数表</t>
  </si>
  <si>
    <r>
      <rPr>
        <b/>
        <sz val="11"/>
        <color theme="1"/>
        <rFont val="仿宋_GB2312"/>
        <charset val="134"/>
      </rPr>
      <t xml:space="preserve">适用地区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</si>
  <si>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调整系数（K3）
</t>
    </r>
    <r>
      <rPr>
        <b/>
        <sz val="11"/>
        <color rgb="FF7030A0"/>
        <rFont val="仿宋_GB2312"/>
        <charset val="134"/>
      </rPr>
      <t>（固定值）</t>
    </r>
  </si>
  <si>
    <t>湛江、茂名、阳江、肇庆、云浮、江门、惠州、汕头、汕尾、揭阳、潮州</t>
  </si>
  <si>
    <r>
      <rPr>
        <b/>
        <sz val="11"/>
        <color theme="1"/>
        <rFont val="仿宋_GB2312"/>
        <charset val="134"/>
      </rPr>
      <t xml:space="preserve">地质灾害评估取费基准价=地质灾害评估基本取费×工程类别调整系数(K1)×工程规模调整系数(K2)×地区调整系数(K3)
</t>
    </r>
    <r>
      <rPr>
        <b/>
        <sz val="11"/>
        <color rgb="FF00B0F0"/>
        <rFont val="仿宋_GB2312"/>
        <charset val="134"/>
      </rPr>
      <t>（自动填充）</t>
    </r>
  </si>
  <si>
    <t>工程测量取费</t>
  </si>
  <si>
    <t>控制测量—GPS测量—E级</t>
  </si>
  <si>
    <r>
      <rPr>
        <b/>
        <sz val="11"/>
        <color theme="1"/>
        <rFont val="仿宋_GB2312"/>
        <charset val="134"/>
      </rPr>
      <t xml:space="preserve">数量（点）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</si>
  <si>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复杂程度
</t>
    </r>
    <r>
      <rPr>
        <b/>
        <sz val="11"/>
        <color rgb="FFC00000"/>
        <rFont val="仿宋_GB2312"/>
        <charset val="134"/>
      </rPr>
      <t>（下拉选项）</t>
    </r>
  </si>
  <si>
    <r>
      <rPr>
        <b/>
        <sz val="11"/>
        <color theme="1"/>
        <rFont val="仿宋_GB2312"/>
        <charset val="134"/>
      </rPr>
      <t xml:space="preserve">收费基价（元）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</si>
  <si>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计价（万元）
</t>
    </r>
    <r>
      <rPr>
        <b/>
        <sz val="11"/>
        <color rgb="FF00B0F0"/>
        <rFont val="仿宋_GB2312"/>
        <charset val="134"/>
      </rPr>
      <t>（自动填充）</t>
    </r>
  </si>
  <si>
    <t>1.数量：《全球定位系统(GPS)测量规范》（GB/T 18314-2009）6.1.6，为求定GPS点在某一参考坐标系中坐标,应与该参考坐标系中的原有控制点联测,联测的总点数不应少于3点。
2.基价：：《工程勘察设计收费标准》(计价格[2002]10号)，2.2地面测量实物工作收费基价表（表2.2-2），控制测量——GPS测量——E级，简单。</t>
  </si>
  <si>
    <t>简单</t>
  </si>
  <si>
    <t>1:2000数字化测图</t>
  </si>
  <si>
    <r>
      <rPr>
        <b/>
        <sz val="11"/>
        <color theme="1"/>
        <rFont val="仿宋_GB2312"/>
        <charset val="134"/>
      </rPr>
      <t>数量（km</t>
    </r>
    <r>
      <rPr>
        <b/>
        <vertAlign val="superscript"/>
        <sz val="11"/>
        <color theme="1"/>
        <rFont val="仿宋_GB2312"/>
        <charset val="134"/>
      </rPr>
      <t>2</t>
    </r>
    <r>
      <rPr>
        <b/>
        <sz val="11"/>
        <color theme="1"/>
        <rFont val="仿宋_GB2312"/>
        <charset val="134"/>
      </rPr>
      <t xml:space="preserve">）
</t>
    </r>
    <r>
      <rPr>
        <b/>
        <sz val="11"/>
        <color rgb="FF00B0F0"/>
        <rFont val="仿宋_GB2312"/>
        <charset val="134"/>
      </rPr>
      <t>（自动填充）</t>
    </r>
  </si>
  <si>
    <t>1.数量：与评估范围一致。
2.基价：《工程勘察设计收费标准》(计价格[2002]10号)，2.2地面测量实物工作收费基价表（表2.2-2），地形测量——一般地区——1:2000，简单。</t>
  </si>
  <si>
    <t>测量技术工作费</t>
  </si>
  <si>
    <r>
      <rPr>
        <b/>
        <sz val="11"/>
        <color theme="1"/>
        <rFont val="仿宋_GB2312"/>
        <charset val="134"/>
      </rPr>
      <t xml:space="preserve">费率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</si>
  <si>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计价（万元）
</t>
    </r>
    <r>
      <rPr>
        <b/>
        <sz val="11"/>
        <color rgb="FFFF0000"/>
        <rFont val="仿宋_GB2312"/>
        <charset val="134"/>
      </rPr>
      <t>（自动填充）</t>
    </r>
  </si>
  <si>
    <t>《工程勘察设计收费标准》(计价格[2002]10号)，2.1工程测量技术工作费收费比例为22%。</t>
  </si>
  <si>
    <r>
      <rPr>
        <b/>
        <sz val="11"/>
        <color theme="1"/>
        <rFont val="仿宋_GB2312"/>
        <charset val="134"/>
      </rPr>
      <t xml:space="preserve">合计
</t>
    </r>
    <r>
      <rPr>
        <b/>
        <sz val="11"/>
        <color rgb="FF00B0F0"/>
        <rFont val="仿宋_GB2312"/>
        <charset val="134"/>
      </rPr>
      <t>（自动填充）</t>
    </r>
  </si>
  <si>
    <t>岩土工程勘察取费</t>
  </si>
  <si>
    <t>钻孔</t>
  </si>
  <si>
    <r>
      <rPr>
        <b/>
        <sz val="11"/>
        <color theme="1"/>
        <rFont val="仿宋_GB2312"/>
        <charset val="134"/>
      </rPr>
      <t xml:space="preserve">数量（个）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</si>
  <si>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深度（m）
</t>
    </r>
    <r>
      <rPr>
        <b/>
        <sz val="11"/>
        <color rgb="FFFF0000"/>
        <rFont val="仿宋_GB2312"/>
        <charset val="134"/>
      </rPr>
      <t>（手动填写）</t>
    </r>
  </si>
  <si>
    <r>
      <rPr>
        <b/>
        <sz val="11"/>
        <color theme="1"/>
        <rFont val="仿宋_GB2312"/>
        <charset val="134"/>
      </rPr>
      <t xml:space="preserve">收费基价（元）
</t>
    </r>
    <r>
      <rPr>
        <b/>
        <sz val="11"/>
        <color rgb="FFFF0000"/>
        <rFont val="仿宋_GB2312"/>
        <charset val="134"/>
      </rPr>
      <t>（手动填写）</t>
    </r>
  </si>
  <si>
    <t>1.数量：《广东省地质灾害危险性评估实施细则(2021年修订版)》第四章第一节第三十三条（二），根据建设工程和各类规划区特点,进行1:1000~1:10000(较长的线状工程可选用1:25000一1:50000)比例尺地质环境综合调查工作，按照相应精度要求(在成图面积10x10cm2的范围内，调查控制点不应少于5个)对地层岩石、地质构造、水文地质、岩土工程地质、不良地质现象和地质灾害等进行调查。
2.基价：《工程勘察设计收费标准》(计价格[2002]10号)，3.3岩土工程勘探实物工作收费基价表（表3.3-2），深度30&lt;D≦40，Ⅲ基价为209元。</t>
  </si>
  <si>
    <t>岩土工程勘察技术工作费</t>
  </si>
  <si>
    <r>
      <rPr>
        <b/>
        <sz val="11"/>
        <color theme="1"/>
        <rFont val="仿宋_GB2312"/>
        <charset val="134"/>
      </rPr>
      <t xml:space="preserve">勘察等级
</t>
    </r>
    <r>
      <rPr>
        <b/>
        <sz val="11"/>
        <color rgb="FFC00000"/>
        <rFont val="仿宋_GB2312"/>
        <charset val="134"/>
      </rPr>
      <t>（下拉选项）</t>
    </r>
  </si>
  <si>
    <r>
      <rPr>
        <b/>
        <sz val="11"/>
        <color theme="1"/>
        <rFont val="仿宋_GB2312"/>
        <charset val="134"/>
      </rPr>
      <t xml:space="preserve">费率
</t>
    </r>
    <r>
      <rPr>
        <b/>
        <sz val="11"/>
        <color rgb="FF00B0F0"/>
        <rFont val="仿宋_GB2312"/>
        <charset val="134"/>
      </rPr>
      <t>（自动填充）</t>
    </r>
  </si>
  <si>
    <t>《工程勘察设计收费标准》(计价格[2002]10号)，3.1岩土工程勘察技术工作费收费比例表（表3.1-1），乙级收费比例为100%</t>
  </si>
  <si>
    <t>甲级</t>
  </si>
  <si>
    <t>室内试验取费</t>
  </si>
  <si>
    <t>采样检测费（土常规）</t>
  </si>
  <si>
    <r>
      <rPr>
        <b/>
        <sz val="11"/>
        <color theme="1"/>
        <rFont val="仿宋_GB2312"/>
        <charset val="134"/>
      </rPr>
      <t xml:space="preserve">平均每孔检测组数（组）
</t>
    </r>
    <r>
      <rPr>
        <b/>
        <sz val="11"/>
        <color rgb="FFFF0000"/>
        <rFont val="仿宋_GB2312"/>
        <charset val="134"/>
      </rPr>
      <t>（手动填写）</t>
    </r>
  </si>
  <si>
    <t>基价：《工程勘察设计收费标准》(计价格[2002]10号)，8.2土工试验实物工作收费基价表（表8.2-1）中的含水率、密度、比重、颗粒分析、液限、塑限、压缩、直接快剪。</t>
  </si>
  <si>
    <t>采样检测费（一般水质全分析）</t>
  </si>
  <si>
    <r>
      <rPr>
        <b/>
        <sz val="11"/>
        <color theme="1"/>
        <rFont val="仿宋_GB2312"/>
        <charset val="134"/>
      </rPr>
      <t xml:space="preserve">数量（组）
</t>
    </r>
    <r>
      <rPr>
        <b/>
        <sz val="11"/>
        <color rgb="FFFF0000"/>
        <rFont val="仿宋_GB2312"/>
        <charset val="134"/>
      </rPr>
      <t>（手动填写）</t>
    </r>
  </si>
  <si>
    <t>1.数量：《地质灾害危险性评估规范》（GB/T 40112-2021）中并未具体说明水样检测的数量要求，结合项目经验，一般不少于2个。
2.基价：《工程勘察设计收费标准》(计价格[2002]10号)，8.3水质分析实物工作收费基价表（表8.3-1），一般水质全分析380元。</t>
  </si>
  <si>
    <t>室内试验技术工作费</t>
  </si>
  <si>
    <t>《工程勘察设计收费标准》(计价格[2002]10号)，8.1室内试验技术工作费收费比例为10%。</t>
  </si>
  <si>
    <r>
      <rPr>
        <b/>
        <sz val="11"/>
        <color theme="1"/>
        <rFont val="仿宋_GB2312"/>
        <charset val="134"/>
      </rPr>
      <t xml:space="preserve">总计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</si>
  <si>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优惠价
</t>
    </r>
    <r>
      <rPr>
        <b/>
        <sz val="11"/>
        <color rgb="FFFF0000"/>
        <rFont val="仿宋_GB2312"/>
        <charset val="134"/>
      </rPr>
      <t>（手动填写）</t>
    </r>
  </si>
  <si>
    <t>注：本单位承诺符合《询价公告》中的供应商要求，如有虚假，将依法承担相应责任。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</si>
</sst>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0" tint="-0.35"/>
      <name val="仿宋_GB2312"/>
      <charset val="134"/>
    </font>
    <font>
      <sz val="11"/>
      <color theme="1"/>
      <name val="Wingdings 2"/>
      <charset val="134"/>
    </font>
    <font>
      <b/>
      <sz val="11"/>
      <color theme="1"/>
      <name val="Times New Roman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方正小标宋简体"/>
      <charset val="134"/>
    </font>
    <font>
      <sz val="11"/>
      <color rgb="FFC00000"/>
      <name val="方正小标宋简体"/>
      <charset val="134"/>
    </font>
    <font>
      <sz val="11"/>
      <color rgb="FF7030A0"/>
      <name val="方正小标宋简体"/>
      <charset val="134"/>
    </font>
    <font>
      <sz val="11"/>
      <color rgb="FF00B0F0"/>
      <name val="方正小标宋简体"/>
      <charset val="134"/>
    </font>
    <font>
      <b/>
      <sz val="11"/>
      <color rgb="FFFF0000"/>
      <name val="仿宋_GB2312"/>
      <charset val="134"/>
    </font>
    <font>
      <u/>
      <sz val="11"/>
      <color theme="1"/>
      <name val="仿宋_GB2312"/>
      <charset val="134"/>
    </font>
    <font>
      <u/>
      <sz val="11"/>
      <color theme="1"/>
      <name val="宋体"/>
      <charset val="134"/>
    </font>
    <font>
      <sz val="11"/>
      <color theme="1"/>
      <name val="宋体"/>
      <charset val="134"/>
    </font>
    <font>
      <b/>
      <vertAlign val="superscript"/>
      <sz val="11"/>
      <color theme="1"/>
      <name val="仿宋_GB2312"/>
      <charset val="134"/>
    </font>
    <font>
      <b/>
      <sz val="11"/>
      <color rgb="FF7030A0"/>
      <name val="仿宋_GB2312"/>
      <charset val="134"/>
    </font>
    <font>
      <b/>
      <sz val="11"/>
      <color theme="1"/>
      <name val="宋体"/>
      <charset val="134"/>
    </font>
    <font>
      <b/>
      <sz val="11"/>
      <color rgb="FF00B0F0"/>
      <name val="仿宋_GB2312"/>
      <charset val="134"/>
    </font>
    <font>
      <b/>
      <sz val="11"/>
      <color rgb="FFC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1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21" borderId="21" applyNumberFormat="0" applyAlignment="0" applyProtection="0">
      <alignment vertical="center"/>
    </xf>
    <xf numFmtId="0" fontId="22" fillId="21" borderId="18" applyNumberFormat="0" applyAlignment="0" applyProtection="0">
      <alignment vertical="center"/>
    </xf>
    <xf numFmtId="0" fontId="24" fillId="26" borderId="20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tabSelected="1" view="pageBreakPreview" zoomScale="70" zoomScaleNormal="85" workbookViewId="0">
      <selection activeCell="C4" sqref="C4:H4"/>
    </sheetView>
  </sheetViews>
  <sheetFormatPr defaultColWidth="9" defaultRowHeight="13.5" outlineLevelCol="7"/>
  <cols>
    <col min="1" max="1" width="11.1333333333333" style="1" customWidth="1"/>
    <col min="2" max="2" width="11.1333333333333" customWidth="1"/>
    <col min="3" max="3" width="14.125" customWidth="1"/>
    <col min="4" max="5" width="27" style="9" customWidth="1"/>
    <col min="6" max="6" width="14" customWidth="1"/>
    <col min="7" max="7" width="15.625" customWidth="1"/>
    <col min="8" max="8" width="35.625" style="10" customWidth="1"/>
  </cols>
  <sheetData>
    <row r="1" ht="27" spans="1:8">
      <c r="A1" s="11" t="s">
        <v>0</v>
      </c>
      <c r="B1" s="11"/>
      <c r="C1" s="11"/>
      <c r="D1" s="11"/>
      <c r="E1" s="11"/>
      <c r="F1" s="11"/>
      <c r="G1" s="11"/>
      <c r="H1" s="11"/>
    </row>
    <row r="2" s="1" customFormat="1" ht="85" customHeight="1" spans="1:8">
      <c r="A2" s="12" t="s">
        <v>1</v>
      </c>
      <c r="B2" s="13"/>
      <c r="C2" s="13"/>
      <c r="D2" s="13"/>
      <c r="E2" s="13"/>
      <c r="F2" s="13"/>
      <c r="G2" s="13"/>
      <c r="H2" s="13"/>
    </row>
    <row r="3" ht="34" customHeight="1" spans="1:8">
      <c r="A3" s="14" t="s">
        <v>2</v>
      </c>
      <c r="B3" s="15"/>
      <c r="C3" s="16" t="s">
        <v>3</v>
      </c>
      <c r="D3" s="17"/>
      <c r="E3" s="17"/>
      <c r="F3" s="17"/>
      <c r="G3" s="17"/>
      <c r="H3" s="18"/>
    </row>
    <row r="4" s="2" customFormat="1" ht="44" customHeight="1" spans="1:8">
      <c r="A4" s="14" t="s">
        <v>4</v>
      </c>
      <c r="B4" s="14"/>
      <c r="C4" s="19" t="s">
        <v>5</v>
      </c>
      <c r="D4" s="17"/>
      <c r="E4" s="17"/>
      <c r="F4" s="17"/>
      <c r="G4" s="17"/>
      <c r="H4" s="18"/>
    </row>
    <row r="5" ht="53" customHeight="1" spans="1:8">
      <c r="A5" s="14" t="s">
        <v>6</v>
      </c>
      <c r="B5" s="15"/>
      <c r="C5" s="20" t="s">
        <v>7</v>
      </c>
      <c r="D5" s="21"/>
      <c r="E5" s="22"/>
      <c r="F5" s="14" t="s">
        <v>8</v>
      </c>
      <c r="G5" s="23">
        <v>0.0772</v>
      </c>
      <c r="H5" s="24" t="s">
        <v>9</v>
      </c>
    </row>
    <row r="6" ht="49" customHeight="1" spans="1:8">
      <c r="A6" s="14" t="s">
        <v>10</v>
      </c>
      <c r="B6" s="15"/>
      <c r="C6" s="17"/>
      <c r="D6" s="25" t="s">
        <v>11</v>
      </c>
      <c r="E6" s="25"/>
      <c r="F6" s="14" t="s">
        <v>12</v>
      </c>
      <c r="G6" s="23">
        <v>0.0927</v>
      </c>
      <c r="H6" s="26"/>
    </row>
    <row r="7" ht="20" customHeight="1" spans="1:8">
      <c r="A7" s="27" t="s">
        <v>13</v>
      </c>
      <c r="B7" s="27"/>
      <c r="C7" s="27"/>
      <c r="D7" s="28"/>
      <c r="E7" s="28"/>
      <c r="F7" s="27"/>
      <c r="G7" s="27"/>
      <c r="H7" s="27"/>
    </row>
    <row r="8" s="3" customFormat="1" ht="41" customHeight="1" spans="1:8">
      <c r="A8" s="29" t="s">
        <v>14</v>
      </c>
      <c r="B8" s="30" t="s">
        <v>15</v>
      </c>
      <c r="C8" s="31" t="s">
        <v>16</v>
      </c>
      <c r="D8" s="31" t="s">
        <v>17</v>
      </c>
      <c r="E8" s="32"/>
      <c r="F8" s="31" t="s">
        <v>18</v>
      </c>
      <c r="G8" s="33" t="s">
        <v>19</v>
      </c>
      <c r="H8" s="34"/>
    </row>
    <row r="9" ht="41" customHeight="1" spans="1:8">
      <c r="A9" s="29"/>
      <c r="B9" s="35"/>
      <c r="C9" s="23" t="s">
        <v>20</v>
      </c>
      <c r="D9" s="35">
        <f>G6</f>
        <v>0.0927</v>
      </c>
      <c r="E9" s="35"/>
      <c r="F9" s="35" t="str">
        <f>IF(D9&gt;=2,"重要建设项目",IF(AND(D9&lt;2,D9&gt;=0.5),"较重要建设项目",IF(D9&lt;0.5,"一般建设项目",NULL)))</f>
        <v>一般建设项目</v>
      </c>
      <c r="G9" s="36" t="s">
        <v>21</v>
      </c>
      <c r="H9" s="37"/>
    </row>
    <row r="10" s="3" customFormat="1" ht="41" customHeight="1" spans="1:8">
      <c r="A10" s="29"/>
      <c r="B10" s="30" t="s">
        <v>22</v>
      </c>
      <c r="C10" s="31" t="s">
        <v>23</v>
      </c>
      <c r="D10" s="31" t="s">
        <v>24</v>
      </c>
      <c r="E10" s="31"/>
      <c r="F10" s="31" t="s">
        <v>25</v>
      </c>
      <c r="G10" s="38"/>
      <c r="H10" s="39"/>
    </row>
    <row r="11" ht="41" customHeight="1" spans="1:8">
      <c r="A11" s="29"/>
      <c r="B11" s="35"/>
      <c r="C11" s="35" t="s">
        <v>26</v>
      </c>
      <c r="D11" s="40" t="s">
        <v>27</v>
      </c>
      <c r="E11" s="40"/>
      <c r="F11" s="23" t="str">
        <f>IF(D11="区域地质构造条件复杂，建设场地有全新世活动断裂，地震基本烈度大于VIII度，地震动峰值加速度大于0.20g","复杂",IF(D11="区域地质构造条件较复杂，建设场地附近有全新世活动断裂，地震基本烈度VII度VIII度，地震动峰值加速度 0.10g~0.20g","中等",IF(D11="区域地质构造条件简单，建设场地附近无全新世活动断裂，地震基本烈度小于或等于VI度，地震动峰值加速度小于0.10g","简单",NULL)))</f>
        <v>简单</v>
      </c>
      <c r="G11" s="41"/>
      <c r="H11" s="42"/>
    </row>
    <row r="12" ht="41" customHeight="1" spans="1:8">
      <c r="A12" s="29"/>
      <c r="B12" s="35"/>
      <c r="C12" s="35" t="s">
        <v>28</v>
      </c>
      <c r="D12" s="40" t="s">
        <v>29</v>
      </c>
      <c r="E12" s="40"/>
      <c r="F12" s="23" t="str">
        <f>IF(D12="评估区跨越两种或两种以上地貌单元；相对高差大于200m，或地形坡度&gt;30°","复杂",IF(D12="评估区跨越两种或两种以上地貌单元，相对高差50~200m，地形坡度10°~30°","中等",IF(D12="单一地貌单元，且相对高差小于50m，地形坡度小于10°","简单",NULL)))</f>
        <v>简单</v>
      </c>
      <c r="G12" s="41"/>
      <c r="H12" s="42"/>
    </row>
    <row r="13" ht="41" customHeight="1" spans="1:8">
      <c r="A13" s="29"/>
      <c r="B13" s="35"/>
      <c r="C13" s="35" t="s">
        <v>30</v>
      </c>
      <c r="D13" s="40" t="s">
        <v>31</v>
      </c>
      <c r="E13" s="40"/>
      <c r="F13" s="23" t="str">
        <f>IF(D13="岩层倾角&gt;45°，岩体为碎裂及散体结构构造；岩土分层多；岩土层厚度变化大，力学性质离散性大；岩土水理性能差，容易出现崩解、渗漏破坏、淘蚀或软化","复杂",IF(D13="岩层倾角10°~45°，岩体为层状-块状构造；岩土分层较多；工程岩土层厚度较大，力学性质离散性较大；岩土水理性能较差，可能出现崩解和渗漏破坏，一般无淘蚀、软化","中等",IF(D13="岩层倾角&lt;10°，岩体为整体构造；岩土分层少厚度稳定，力学性质离散性小；岩土水理性能良好，不会出现崩解、渗漏破坏、淘蚀或软化","简单",NULL)))</f>
        <v>简单</v>
      </c>
      <c r="G13" s="41"/>
      <c r="H13" s="42"/>
    </row>
    <row r="14" ht="41" customHeight="1" spans="1:8">
      <c r="A14" s="29"/>
      <c r="B14" s="35"/>
      <c r="C14" s="35" t="s">
        <v>32</v>
      </c>
      <c r="D14" s="40" t="s">
        <v>33</v>
      </c>
      <c r="E14" s="40"/>
      <c r="F14" s="23" t="str">
        <f>IF(D14="褶皱断裂发育;有二组及以上张性断裂；或有多于4组裂隙，间距&lt;0.3m，倾角变化大；岩体破碎","复杂",IF(D14="褶皱断裂较发育；偶见断裂，对稳定性和工程无重大影响；有3~4组节理裂隙，间距0.3~1.0m，倾角变化较大；岩体较破碎","中等",IF(D14="无褶皱断裂；且&lt;3组节理裂隙，倾角变化小稳定性较好，岩体较完整","简单",NULL)))</f>
        <v>简单</v>
      </c>
      <c r="G14" s="41"/>
      <c r="H14" s="42"/>
    </row>
    <row r="15" ht="41" customHeight="1" spans="1:8">
      <c r="A15" s="29"/>
      <c r="B15" s="35"/>
      <c r="C15" s="35" t="s">
        <v>34</v>
      </c>
      <c r="D15" s="40" t="s">
        <v>35</v>
      </c>
      <c r="E15" s="40"/>
      <c r="F15" s="23" t="str">
        <f>IF(D15="具多层含水层，水位年际变化大于20m，水文地质条件不良","复杂",IF(D15="有二至三层含水层，水位年际变化5m~20m，水文地质条件较差","中等",IF(D15="单层含水层，水位年际变化小于5m，水文地质条件良好","简单",NULL)))</f>
        <v>简单</v>
      </c>
      <c r="G15" s="41"/>
      <c r="H15" s="42"/>
    </row>
    <row r="16" ht="41" customHeight="1" spans="1:8">
      <c r="A16" s="29"/>
      <c r="B16" s="35"/>
      <c r="C16" s="35" t="s">
        <v>36</v>
      </c>
      <c r="D16" s="40" t="s">
        <v>37</v>
      </c>
      <c r="E16" s="40"/>
      <c r="F16" s="23" t="str">
        <f>IF(D16="发育强烈，危害较大","复杂",IF(D16="发育中等，危害中等","中等",IF(D16="发育弱或不发育，危害小","简单",NULL)))</f>
        <v>简单</v>
      </c>
      <c r="G16" s="41"/>
      <c r="H16" s="42"/>
    </row>
    <row r="17" ht="41" customHeight="1" spans="1:8">
      <c r="A17" s="29"/>
      <c r="B17" s="35"/>
      <c r="C17" s="35" t="s">
        <v>38</v>
      </c>
      <c r="D17" s="40" t="s">
        <v>39</v>
      </c>
      <c r="E17" s="40"/>
      <c r="F17" s="23" t="str">
        <f>IF(D17="强烈:填土边坡或土质挖方边坡&gt;20mm;岩质挖方边坡&gt;30m;潜埋洞室，洞跨&gt;15m;水平缓倾斜(0~60°)矿体地下采空区;对地形地貌景观破坏程度大","复杂",IF(D17="中等:填土边坡或土质挖方边坡5~20m;岩质挖方边坡10~30m;潜埋洞室，洞跨&lt;15m;陡倾斜(&gt;60°)矿体地下采空区;对地形地貌景观破坏程度中","中等",IF(D17="弱:填土边坡或土质挖方边坡&lt;5m;岩质挖方边坡&lt;10m;无潜埋洞室和地下采空区;对地形地貌景观破坏程度轻微","简单",NULL)))</f>
        <v>简单</v>
      </c>
      <c r="G17" s="41"/>
      <c r="H17" s="42"/>
    </row>
    <row r="18" ht="41" customHeight="1" spans="1:8">
      <c r="A18" s="29"/>
      <c r="B18" s="35"/>
      <c r="C18" s="14" t="s">
        <v>40</v>
      </c>
      <c r="D18" s="15"/>
      <c r="E18" s="15"/>
      <c r="F18" s="35" t="str">
        <f>IF(SUMPRODUCT(--(F11:F17="复杂"))&gt;0,"复杂",IF(SUMPRODUCT(--(F11:F17="中等"))&gt;0,"中等",IF(SUMPRODUCT(--(F11:F17="简单"))&gt;0,"简单",NULL)))</f>
        <v>简单</v>
      </c>
      <c r="G18" s="41"/>
      <c r="H18" s="42"/>
    </row>
    <row r="19" s="3" customFormat="1" ht="41" customHeight="1" spans="1:8">
      <c r="A19" s="29"/>
      <c r="B19" s="31" t="s">
        <v>41</v>
      </c>
      <c r="C19" s="31"/>
      <c r="D19" s="31"/>
      <c r="E19" s="31"/>
      <c r="F19" s="43" t="str">
        <f>IF(OR(AND(F9="重要建设项目",F18="复杂"),AND(F9="重要建设项目",F18="中等"),AND(F9="较重要建设项目",F18="复杂")),"一等",IF(OR(AND(F9="重要建设项目",F18="简单"),AND(F9="较重要建设项目",F18="中等"),AND(F9="一般建设项目",F18="复杂")),"二等",IF(OR(AND(F9="较重要建设项目",F18="简单"),AND(F9="一般建设项目",F18="中等"),AND(F9="一般建设项目",F18="简单")),"三等",NULL)))</f>
        <v>三等</v>
      </c>
      <c r="G19" s="38"/>
      <c r="H19" s="39"/>
    </row>
    <row r="20" s="3" customFormat="1" ht="41" customHeight="1" spans="1:8">
      <c r="A20" s="29"/>
      <c r="B20" s="30" t="s">
        <v>42</v>
      </c>
      <c r="C20" s="31" t="s">
        <v>43</v>
      </c>
      <c r="D20" s="32"/>
      <c r="E20" s="32"/>
      <c r="F20" s="31" t="s">
        <v>44</v>
      </c>
      <c r="G20" s="38"/>
      <c r="H20" s="39"/>
    </row>
    <row r="21" s="4" customFormat="1" ht="41" customHeight="1" spans="1:8">
      <c r="A21" s="29"/>
      <c r="B21" s="35"/>
      <c r="C21" s="23" t="s">
        <v>45</v>
      </c>
      <c r="D21" s="23"/>
      <c r="E21" s="23"/>
      <c r="F21" s="23">
        <f>IF(AND(F19="一等",F18="复杂"),22,IF(AND(F19="一等",F18="中等"),18,IF(AND(F19="一等",F18="简单"),16,IF(AND(F19="二等",F18="复杂"),14,IF(AND(F19="二等",F18="中等"),12,IF(AND(F19="三等",F18="中等"),10,IF(AND(F19="三等",F18="简单"),9,NULL)))))))</f>
        <v>9</v>
      </c>
      <c r="G21" s="41"/>
      <c r="H21" s="42"/>
    </row>
    <row r="22" s="5" customFormat="1" ht="41" customHeight="1" spans="1:8">
      <c r="A22" s="29"/>
      <c r="B22" s="30" t="s">
        <v>46</v>
      </c>
      <c r="C22" s="31" t="s">
        <v>47</v>
      </c>
      <c r="D22" s="32"/>
      <c r="E22" s="31" t="s">
        <v>48</v>
      </c>
      <c r="F22" s="31" t="s">
        <v>49</v>
      </c>
      <c r="G22" s="38"/>
      <c r="H22" s="39"/>
    </row>
    <row r="23" s="4" customFormat="1" ht="41" customHeight="1" spans="1:8">
      <c r="A23" s="29"/>
      <c r="B23" s="35"/>
      <c r="C23" s="35" t="s">
        <v>50</v>
      </c>
      <c r="D23" s="35"/>
      <c r="E23" s="23">
        <v>1</v>
      </c>
      <c r="F23" s="23">
        <f>IF(D9&lt;=1,1,IF(D9&gt;1,1+(D9-1)/2,NULL))</f>
        <v>1</v>
      </c>
      <c r="G23" s="41"/>
      <c r="H23" s="42"/>
    </row>
    <row r="24" s="5" customFormat="1" ht="41" customHeight="1" spans="1:8">
      <c r="A24" s="29"/>
      <c r="B24" s="30" t="s">
        <v>51</v>
      </c>
      <c r="C24" s="31" t="s">
        <v>52</v>
      </c>
      <c r="D24" s="32"/>
      <c r="E24" s="32"/>
      <c r="F24" s="31" t="s">
        <v>53</v>
      </c>
      <c r="G24" s="38"/>
      <c r="H24" s="39"/>
    </row>
    <row r="25" s="4" customFormat="1" ht="41" customHeight="1" spans="1:8">
      <c r="A25" s="29"/>
      <c r="B25" s="35"/>
      <c r="C25" s="35" t="s">
        <v>54</v>
      </c>
      <c r="D25" s="35"/>
      <c r="E25" s="35"/>
      <c r="F25" s="23">
        <v>1.1</v>
      </c>
      <c r="G25" s="41"/>
      <c r="H25" s="42"/>
    </row>
    <row r="26" s="1" customFormat="1" ht="41" customHeight="1" spans="1:8">
      <c r="A26" s="29"/>
      <c r="B26" s="14" t="s">
        <v>55</v>
      </c>
      <c r="C26" s="14"/>
      <c r="D26" s="14"/>
      <c r="E26" s="14"/>
      <c r="F26" s="15">
        <f>F21*E23*F23*F25</f>
        <v>9.9</v>
      </c>
      <c r="G26" s="44"/>
      <c r="H26" s="45"/>
    </row>
    <row r="27" s="5" customFormat="1" ht="40" customHeight="1" spans="1:8">
      <c r="A27" s="29" t="s">
        <v>56</v>
      </c>
      <c r="B27" s="30" t="s">
        <v>57</v>
      </c>
      <c r="C27" s="31" t="s">
        <v>58</v>
      </c>
      <c r="D27" s="31" t="s">
        <v>59</v>
      </c>
      <c r="E27" s="31" t="s">
        <v>60</v>
      </c>
      <c r="F27" s="31" t="s">
        <v>61</v>
      </c>
      <c r="G27" s="46" t="s">
        <v>62</v>
      </c>
      <c r="H27" s="47"/>
    </row>
    <row r="28" s="4" customFormat="1" ht="69" customHeight="1" spans="1:8">
      <c r="A28" s="29"/>
      <c r="B28" s="35"/>
      <c r="C28" s="35">
        <v>3</v>
      </c>
      <c r="D28" s="35" t="s">
        <v>63</v>
      </c>
      <c r="E28" s="35">
        <f>IF(D28="简单",2821,IF(D28="中等",3203,IF(D28="复杂",4123,NULL)))</f>
        <v>2821</v>
      </c>
      <c r="F28" s="23">
        <f>ROUND(C28*E28/10000,4)</f>
        <v>0.8463</v>
      </c>
      <c r="G28" s="48"/>
      <c r="H28" s="49"/>
    </row>
    <row r="29" s="5" customFormat="1" ht="40" customHeight="1" spans="1:8">
      <c r="A29" s="29"/>
      <c r="B29" s="30" t="s">
        <v>64</v>
      </c>
      <c r="C29" s="31" t="s">
        <v>65</v>
      </c>
      <c r="D29" s="31" t="s">
        <v>59</v>
      </c>
      <c r="E29" s="31" t="s">
        <v>60</v>
      </c>
      <c r="F29" s="31" t="s">
        <v>61</v>
      </c>
      <c r="G29" s="46" t="s">
        <v>66</v>
      </c>
      <c r="H29" s="47"/>
    </row>
    <row r="30" s="4" customFormat="1" ht="50" customHeight="1" spans="1:8">
      <c r="A30" s="29"/>
      <c r="B30" s="35"/>
      <c r="C30" s="35">
        <f>D9</f>
        <v>0.0927</v>
      </c>
      <c r="D30" s="35" t="s">
        <v>63</v>
      </c>
      <c r="E30" s="35">
        <f>IF(D30="简单",6676,IF(D30="中等",8901,IF(D30="复杂",14244,NULL)))</f>
        <v>6676</v>
      </c>
      <c r="F30" s="23">
        <f>ROUND(C30*E30/10000,4)</f>
        <v>0.0619</v>
      </c>
      <c r="G30" s="48"/>
      <c r="H30" s="49"/>
    </row>
    <row r="31" s="5" customFormat="1" ht="41" customHeight="1" spans="1:8">
      <c r="A31" s="29"/>
      <c r="B31" s="30" t="s">
        <v>67</v>
      </c>
      <c r="C31" s="31" t="s">
        <v>68</v>
      </c>
      <c r="D31" s="31"/>
      <c r="E31" s="31"/>
      <c r="F31" s="31" t="s">
        <v>69</v>
      </c>
      <c r="G31" s="46" t="s">
        <v>70</v>
      </c>
      <c r="H31" s="47"/>
    </row>
    <row r="32" s="4" customFormat="1" ht="41" customHeight="1" spans="1:8">
      <c r="A32" s="29"/>
      <c r="B32" s="35"/>
      <c r="C32" s="50">
        <v>0.22</v>
      </c>
      <c r="D32" s="35"/>
      <c r="E32" s="35"/>
      <c r="F32" s="23">
        <f>ROUND((F28+F30)*C32,4)</f>
        <v>0.1998</v>
      </c>
      <c r="G32" s="48"/>
      <c r="H32" s="49"/>
    </row>
    <row r="33" s="1" customFormat="1" ht="41" customHeight="1" spans="1:8">
      <c r="A33" s="29"/>
      <c r="B33" s="14" t="s">
        <v>71</v>
      </c>
      <c r="C33" s="14"/>
      <c r="D33" s="14"/>
      <c r="E33" s="14"/>
      <c r="F33" s="15">
        <f>F28+F30+F32</f>
        <v>1.108</v>
      </c>
      <c r="G33" s="51"/>
      <c r="H33" s="52"/>
    </row>
    <row r="34" s="6" customFormat="1" ht="40" customHeight="1" spans="1:8">
      <c r="A34" s="53" t="s">
        <v>72</v>
      </c>
      <c r="B34" s="43" t="s">
        <v>73</v>
      </c>
      <c r="C34" s="31" t="s">
        <v>74</v>
      </c>
      <c r="D34" s="31" t="s">
        <v>75</v>
      </c>
      <c r="E34" s="31" t="s">
        <v>76</v>
      </c>
      <c r="F34" s="31" t="s">
        <v>61</v>
      </c>
      <c r="G34" s="46" t="s">
        <v>77</v>
      </c>
      <c r="H34" s="47"/>
    </row>
    <row r="35" s="7" customFormat="1" ht="116" customHeight="1" spans="1:8">
      <c r="A35" s="54"/>
      <c r="B35" s="23"/>
      <c r="C35" s="23">
        <f>ROUNDUP(IF(D9&lt;=1,5,IF(D9&gt;1,D9*5,NULL)),0)</f>
        <v>5</v>
      </c>
      <c r="D35" s="35">
        <v>40</v>
      </c>
      <c r="E35" s="35">
        <v>209</v>
      </c>
      <c r="F35" s="23">
        <f>ROUND(C35*D35*E35/10000,4)</f>
        <v>4.18</v>
      </c>
      <c r="G35" s="48"/>
      <c r="H35" s="49"/>
    </row>
    <row r="36" s="6" customFormat="1" ht="41" customHeight="1" spans="1:8">
      <c r="A36" s="54"/>
      <c r="B36" s="30" t="s">
        <v>78</v>
      </c>
      <c r="C36" s="31" t="s">
        <v>79</v>
      </c>
      <c r="D36" s="31" t="s">
        <v>80</v>
      </c>
      <c r="E36" s="31"/>
      <c r="F36" s="31" t="s">
        <v>61</v>
      </c>
      <c r="G36" s="46" t="s">
        <v>81</v>
      </c>
      <c r="H36" s="47"/>
    </row>
    <row r="37" s="7" customFormat="1" ht="41" customHeight="1" spans="1:8">
      <c r="A37" s="54"/>
      <c r="B37" s="35"/>
      <c r="C37" s="23" t="s">
        <v>82</v>
      </c>
      <c r="D37" s="35">
        <f>IF(C37="丙级",80%,IF(C37="乙级",100%,IF(C37="甲级",120%,NULL)))</f>
        <v>1.2</v>
      </c>
      <c r="E37" s="35"/>
      <c r="F37" s="23">
        <f>ROUND(F35*D37,4)</f>
        <v>5.016</v>
      </c>
      <c r="G37" s="48"/>
      <c r="H37" s="49"/>
    </row>
    <row r="38" s="8" customFormat="1" ht="41" customHeight="1" spans="1:8">
      <c r="A38" s="55"/>
      <c r="B38" s="14" t="s">
        <v>71</v>
      </c>
      <c r="C38" s="14"/>
      <c r="D38" s="14"/>
      <c r="E38" s="14"/>
      <c r="F38" s="15">
        <f>F35+F37</f>
        <v>9.196</v>
      </c>
      <c r="G38" s="51"/>
      <c r="H38" s="52"/>
    </row>
    <row r="39" s="6" customFormat="1" ht="40" customHeight="1" spans="1:8">
      <c r="A39" s="53" t="s">
        <v>83</v>
      </c>
      <c r="B39" s="30" t="s">
        <v>84</v>
      </c>
      <c r="C39" s="31" t="s">
        <v>74</v>
      </c>
      <c r="D39" s="31" t="s">
        <v>85</v>
      </c>
      <c r="E39" s="31" t="s">
        <v>76</v>
      </c>
      <c r="F39" s="31" t="s">
        <v>61</v>
      </c>
      <c r="G39" s="46" t="s">
        <v>86</v>
      </c>
      <c r="H39" s="47"/>
    </row>
    <row r="40" s="7" customFormat="1" ht="50" customHeight="1" spans="1:8">
      <c r="A40" s="54"/>
      <c r="B40" s="35"/>
      <c r="C40" s="23">
        <f>C35</f>
        <v>5</v>
      </c>
      <c r="D40" s="35">
        <v>7</v>
      </c>
      <c r="E40" s="35">
        <v>308</v>
      </c>
      <c r="F40" s="23">
        <f>ROUND(C40*D40*E40/10000,4)</f>
        <v>1.078</v>
      </c>
      <c r="G40" s="48"/>
      <c r="H40" s="49"/>
    </row>
    <row r="41" s="6" customFormat="1" ht="40" customHeight="1" spans="1:8">
      <c r="A41" s="54"/>
      <c r="B41" s="30" t="s">
        <v>87</v>
      </c>
      <c r="C41" s="31" t="s">
        <v>88</v>
      </c>
      <c r="D41" s="32"/>
      <c r="E41" s="31" t="s">
        <v>76</v>
      </c>
      <c r="F41" s="31" t="s">
        <v>61</v>
      </c>
      <c r="G41" s="46" t="s">
        <v>89</v>
      </c>
      <c r="H41" s="47"/>
    </row>
    <row r="42" s="7" customFormat="1" ht="50" customHeight="1" spans="1:8">
      <c r="A42" s="54"/>
      <c r="B42" s="35"/>
      <c r="C42" s="23">
        <v>2</v>
      </c>
      <c r="D42" s="23"/>
      <c r="E42" s="35">
        <v>380</v>
      </c>
      <c r="F42" s="23">
        <f>ROUND(C42*E42/10000,4)</f>
        <v>0.076</v>
      </c>
      <c r="G42" s="48"/>
      <c r="H42" s="49"/>
    </row>
    <row r="43" s="6" customFormat="1" ht="40" customHeight="1" spans="1:8">
      <c r="A43" s="54"/>
      <c r="B43" s="30" t="s">
        <v>90</v>
      </c>
      <c r="C43" s="31" t="s">
        <v>68</v>
      </c>
      <c r="D43" s="31"/>
      <c r="E43" s="31"/>
      <c r="F43" s="31" t="s">
        <v>61</v>
      </c>
      <c r="G43" s="46" t="s">
        <v>91</v>
      </c>
      <c r="H43" s="47"/>
    </row>
    <row r="44" s="7" customFormat="1" ht="50" customHeight="1" spans="1:8">
      <c r="A44" s="54"/>
      <c r="B44" s="35"/>
      <c r="C44" s="50">
        <v>0.1</v>
      </c>
      <c r="D44" s="35"/>
      <c r="E44" s="35"/>
      <c r="F44" s="23">
        <f>ROUND((F40+F42)*C44,4)</f>
        <v>0.1154</v>
      </c>
      <c r="G44" s="48"/>
      <c r="H44" s="49"/>
    </row>
    <row r="45" s="8" customFormat="1" ht="50" customHeight="1" spans="1:8">
      <c r="A45" s="55"/>
      <c r="B45" s="14" t="s">
        <v>71</v>
      </c>
      <c r="C45" s="14"/>
      <c r="D45" s="14"/>
      <c r="E45" s="14"/>
      <c r="F45" s="15">
        <f>F40+F42+F44</f>
        <v>1.2694</v>
      </c>
      <c r="G45" s="51"/>
      <c r="H45" s="52"/>
    </row>
    <row r="46" s="8" customFormat="1" ht="50" customHeight="1" spans="1:8">
      <c r="A46" s="14" t="s">
        <v>92</v>
      </c>
      <c r="B46" s="15"/>
      <c r="C46" s="15"/>
      <c r="D46" s="15"/>
      <c r="E46" s="15"/>
      <c r="F46" s="15">
        <f>F26+F33+F38+F45</f>
        <v>21.4734</v>
      </c>
      <c r="G46" s="14" t="s">
        <v>93</v>
      </c>
      <c r="H46" s="56"/>
    </row>
    <row r="47" s="7" customFormat="1" ht="29" customHeight="1" spans="1:8">
      <c r="A47" s="57" t="s">
        <v>94</v>
      </c>
      <c r="B47" s="57"/>
      <c r="C47" s="57"/>
      <c r="D47" s="57"/>
      <c r="E47" s="57"/>
      <c r="F47" s="57"/>
      <c r="G47" s="57"/>
      <c r="H47" s="57"/>
    </row>
  </sheetData>
  <mergeCells count="74">
    <mergeCell ref="A1:H1"/>
    <mergeCell ref="A2:H2"/>
    <mergeCell ref="A3:B3"/>
    <mergeCell ref="C3:H3"/>
    <mergeCell ref="A4:B4"/>
    <mergeCell ref="C4:H4"/>
    <mergeCell ref="A5:B5"/>
    <mergeCell ref="C5:E5"/>
    <mergeCell ref="A6:B6"/>
    <mergeCell ref="D6:E6"/>
    <mergeCell ref="A7:H7"/>
    <mergeCell ref="D8:E8"/>
    <mergeCell ref="G8:H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C18:E18"/>
    <mergeCell ref="B19:E19"/>
    <mergeCell ref="C20:E20"/>
    <mergeCell ref="C21:E21"/>
    <mergeCell ref="C22:D22"/>
    <mergeCell ref="C23:D23"/>
    <mergeCell ref="C24:E24"/>
    <mergeCell ref="C25:E25"/>
    <mergeCell ref="B26:E26"/>
    <mergeCell ref="C31:E31"/>
    <mergeCell ref="C32:E32"/>
    <mergeCell ref="B33:E33"/>
    <mergeCell ref="G33:H33"/>
    <mergeCell ref="D36:E36"/>
    <mergeCell ref="D37:E37"/>
    <mergeCell ref="B38:E38"/>
    <mergeCell ref="G38:H38"/>
    <mergeCell ref="C41:D41"/>
    <mergeCell ref="C42:D42"/>
    <mergeCell ref="C43:E43"/>
    <mergeCell ref="C44:E44"/>
    <mergeCell ref="B45:E45"/>
    <mergeCell ref="G45:H45"/>
    <mergeCell ref="A46:E46"/>
    <mergeCell ref="A47:H47"/>
    <mergeCell ref="A8:A26"/>
    <mergeCell ref="A27:A33"/>
    <mergeCell ref="A34:A38"/>
    <mergeCell ref="A39:A45"/>
    <mergeCell ref="B8:B9"/>
    <mergeCell ref="B10:B18"/>
    <mergeCell ref="B20:B21"/>
    <mergeCell ref="B22:B23"/>
    <mergeCell ref="B24:B25"/>
    <mergeCell ref="B27:B28"/>
    <mergeCell ref="B29:B30"/>
    <mergeCell ref="B31:B32"/>
    <mergeCell ref="B34:B35"/>
    <mergeCell ref="B36:B37"/>
    <mergeCell ref="B39:B40"/>
    <mergeCell ref="B41:B42"/>
    <mergeCell ref="B43:B44"/>
    <mergeCell ref="H5:H6"/>
    <mergeCell ref="G9:H26"/>
    <mergeCell ref="G27:H28"/>
    <mergeCell ref="G29:H30"/>
    <mergeCell ref="G31:H32"/>
    <mergeCell ref="G34:H35"/>
    <mergeCell ref="G36:H37"/>
    <mergeCell ref="G39:H40"/>
    <mergeCell ref="G41:H42"/>
    <mergeCell ref="G43:H44"/>
  </mergeCells>
  <dataValidations count="9">
    <dataValidation type="list" allowBlank="1" showInputMessage="1" showErrorMessage="1" sqref="D11 E11">
      <formula1>"区域地质构造条件复杂，建设场地有全新世活动断裂，地震基本烈度大于VIII度，地震动峰值加速度大于0.20g,区域地质构造条件较复杂，建设场地附近有全新世活动断裂，地震基本烈度VII度VIII度，地震动峰值加速度 0.10g~0.20g,区域地质构造条件简单，建设场地附近无全新世活动断裂，地震基本烈度小于或等于VI度，地震动峰值加速度小于0.10g"</formula1>
    </dataValidation>
    <dataValidation type="list" allowBlank="1" showInputMessage="1" showErrorMessage="1" sqref="D28 D30">
      <formula1>"简单,中等,复杂"</formula1>
    </dataValidation>
    <dataValidation type="list" allowBlank="1" showInputMessage="1" showErrorMessage="1" sqref="D12:E12">
      <formula1>"评估区跨越两种或两种以上地貌单元；相对高差大于200m，或地形坡度&gt;30°,评估区跨越两种或两种以上地貌单元，相对高差50~200m，地形坡度10°~30°,单一地貌单元，且相对高差小于50m，地形坡度小于10°"</formula1>
    </dataValidation>
    <dataValidation type="list" allowBlank="1" showInputMessage="1" showErrorMessage="1" sqref="D13 E13">
      <formula1>"岩层倾角&gt;45°，岩体为碎裂及散体结构构造；岩土分层多；岩土层厚度变化大，力学性质离散性大；岩土水理性能差，容易出现崩解、渗漏破坏、淘蚀或软化,岩层倾角10°~45°，岩体为层状-块状构造；岩土分层较多；工程岩土层厚度较大，力学性质离散性较大；岩土水理性能较差，可能出现崩解和渗漏破坏，一般无淘蚀、软化,岩层倾角&lt;10°，岩体为整体构造；岩土分层少厚度稳定，力学性质离散性小；岩土水理性能良好，不会出现崩解、渗漏破坏、淘蚀或软化"</formula1>
    </dataValidation>
    <dataValidation type="list" allowBlank="1" showInputMessage="1" showErrorMessage="1" sqref="D15 E15">
      <formula1>"具多层含水层，水位年际变化大于20m，水文地质条件不良,有二至三层含水层，水位年际变化5m~20m，水文地质条件较差,单层含水层，水位年际变化小于5m，水文地质条件良好"</formula1>
    </dataValidation>
    <dataValidation type="list" allowBlank="1" showInputMessage="1" showErrorMessage="1" sqref="D14 E14">
      <formula1>"褶皱断裂发育;有二组及以上张性断裂；或有多于4组裂隙，间距&lt;0.3m，倾角变化大；岩体破碎,褶皱断裂较发育；偶见断裂，对稳定性和工程无重大影响；有3~4组节理裂隙，间距0.3~1.0m，倾角变化较大；岩体较破碎,无褶皱断裂；且&lt;3组节理裂隙，倾角变化小稳定性较好，岩体较完整"</formula1>
    </dataValidation>
    <dataValidation type="list" allowBlank="1" showInputMessage="1" showErrorMessage="1" sqref="D16 E16">
      <formula1>"发育强烈，危害较大,发育中等，危害中等,发育弱或不发育，危害小"</formula1>
    </dataValidation>
    <dataValidation type="list" allowBlank="1" showInputMessage="1" showErrorMessage="1" sqref="C37">
      <formula1>"甲级,乙级,丙级"</formula1>
    </dataValidation>
    <dataValidation type="list" allowBlank="1" showInputMessage="1" showErrorMessage="1" sqref="D17 E17">
      <formula1>"强烈:填土边坡或土质挖方边坡&gt;20mm;岩质挖方边坡&gt;30m;潜埋洞室，洞跨&gt;15m;水平缓倾斜(0~60°)矿体地下采空区;对地形地貌景观破坏程度大,中等:填土边坡或土质挖方边坡5~20m;岩质挖方边坡10~30m;潜埋洞室，洞跨&lt;15m;陡倾斜(&gt;60°)矿体地下采空区;对地形地貌景观破坏程度中,弱:填土边坡或土质挖方边坡&lt;5m;岩质挖方边坡&lt;10m;无潜埋洞室和地下采空区;对地形地貌景观破坏程度轻微"</formula1>
    </dataValidation>
  </dataValidations>
  <printOptions horizontalCentered="1"/>
  <pageMargins left="0.393055555555556" right="0.393055555555556" top="0.393055555555556" bottom="0.393055555555556" header="0.393055555555556" footer="0.393055555555556"/>
  <pageSetup paperSize="8" scale="91" fitToHeight="0" orientation="portrait" horizontalDpi="600"/>
  <headerFooter/>
  <rowBreaks count="3" manualBreakCount="3">
    <brk id="26" max="7" man="1"/>
    <brk id="47" max="16383" man="1"/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江门市市土地储备中心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施伟强(UE000967)</dc:creator>
  <cp:lastModifiedBy>施伟强(UE000967)</cp:lastModifiedBy>
  <dcterms:created xsi:type="dcterms:W3CDTF">2024-07-29T02:07:00Z</dcterms:created>
  <dcterms:modified xsi:type="dcterms:W3CDTF">2025-10-13T04:08:09Z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